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us\Documents\Andrus 2022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M7" i="1" l="1"/>
  <c r="N7" i="1" s="1"/>
  <c r="K7" i="1"/>
  <c r="L7" i="1" s="1"/>
  <c r="I7" i="1"/>
  <c r="J7" i="1" s="1"/>
  <c r="G7" i="1"/>
  <c r="H7" i="1" s="1"/>
  <c r="M6" i="1"/>
  <c r="N6" i="1" s="1"/>
  <c r="I6" i="1"/>
  <c r="J6" i="1" s="1"/>
  <c r="G6" i="1"/>
  <c r="H6" i="1" s="1"/>
  <c r="M25" i="1"/>
  <c r="N25" i="1" s="1"/>
  <c r="K25" i="1"/>
  <c r="L25" i="1" s="1"/>
  <c r="I25" i="1"/>
  <c r="J25" i="1" s="1"/>
  <c r="G25" i="1"/>
  <c r="H25" i="1" s="1"/>
  <c r="M24" i="1"/>
  <c r="N24" i="1" s="1"/>
  <c r="K24" i="1"/>
  <c r="L24" i="1" s="1"/>
  <c r="I24" i="1"/>
  <c r="J24" i="1" s="1"/>
  <c r="G24" i="1"/>
  <c r="H24" i="1" s="1"/>
  <c r="M26" i="1"/>
  <c r="N26" i="1" s="1"/>
  <c r="K26" i="1"/>
  <c r="L26" i="1" s="1"/>
  <c r="I26" i="1"/>
  <c r="J26" i="1" s="1"/>
  <c r="K23" i="1"/>
  <c r="L23" i="1" s="1"/>
  <c r="I23" i="1"/>
  <c r="J23" i="1" s="1"/>
  <c r="G23" i="1"/>
  <c r="H23" i="1" s="1"/>
  <c r="M22" i="1"/>
  <c r="N22" i="1" s="1"/>
  <c r="K22" i="1"/>
  <c r="L22" i="1" s="1"/>
  <c r="I22" i="1"/>
  <c r="J22" i="1" s="1"/>
  <c r="G22" i="1"/>
  <c r="H22" i="1" s="1"/>
  <c r="M21" i="1"/>
  <c r="N21" i="1" s="1"/>
  <c r="K21" i="1"/>
  <c r="L21" i="1" s="1"/>
  <c r="I21" i="1"/>
  <c r="J21" i="1" s="1"/>
  <c r="G21" i="1"/>
  <c r="H21" i="1" s="1"/>
  <c r="M20" i="1"/>
  <c r="N20" i="1" s="1"/>
  <c r="K20" i="1"/>
  <c r="L20" i="1" s="1"/>
  <c r="I20" i="1"/>
  <c r="J20" i="1" s="1"/>
  <c r="G20" i="1"/>
  <c r="H20" i="1" s="1"/>
  <c r="M19" i="1"/>
  <c r="N19" i="1" s="1"/>
  <c r="K19" i="1"/>
  <c r="L19" i="1" s="1"/>
  <c r="I19" i="1"/>
  <c r="J19" i="1" s="1"/>
  <c r="G19" i="1"/>
  <c r="H19" i="1" s="1"/>
  <c r="M18" i="1"/>
  <c r="N18" i="1" s="1"/>
  <c r="K18" i="1"/>
  <c r="L18" i="1" s="1"/>
  <c r="I18" i="1"/>
  <c r="J18" i="1" s="1"/>
  <c r="G18" i="1"/>
  <c r="H18" i="1" s="1"/>
  <c r="M17" i="1"/>
  <c r="N17" i="1" s="1"/>
  <c r="K17" i="1"/>
  <c r="L17" i="1" s="1"/>
  <c r="I17" i="1"/>
  <c r="J17" i="1" s="1"/>
  <c r="G17" i="1"/>
  <c r="H17" i="1" s="1"/>
  <c r="M16" i="1"/>
  <c r="N16" i="1" s="1"/>
  <c r="K16" i="1"/>
  <c r="L16" i="1" s="1"/>
  <c r="I16" i="1"/>
  <c r="J16" i="1" s="1"/>
  <c r="G16" i="1"/>
  <c r="H16" i="1" s="1"/>
  <c r="M15" i="1"/>
  <c r="N15" i="1" s="1"/>
  <c r="K15" i="1"/>
  <c r="L15" i="1" s="1"/>
  <c r="I15" i="1"/>
  <c r="J15" i="1" s="1"/>
  <c r="G15" i="1"/>
  <c r="H15" i="1" s="1"/>
  <c r="M14" i="1"/>
  <c r="N14" i="1" s="1"/>
  <c r="K14" i="1"/>
  <c r="L14" i="1" s="1"/>
  <c r="I14" i="1"/>
  <c r="J14" i="1" s="1"/>
  <c r="G14" i="1"/>
  <c r="H14" i="1" s="1"/>
  <c r="M13" i="1"/>
  <c r="N13" i="1" s="1"/>
  <c r="K13" i="1"/>
  <c r="L13" i="1" s="1"/>
  <c r="I13" i="1"/>
  <c r="J13" i="1" s="1"/>
  <c r="G13" i="1"/>
  <c r="H13" i="1" s="1"/>
  <c r="M12" i="1"/>
  <c r="N12" i="1" s="1"/>
  <c r="K12" i="1"/>
  <c r="L12" i="1" s="1"/>
  <c r="I12" i="1"/>
  <c r="J12" i="1" s="1"/>
  <c r="G12" i="1"/>
  <c r="H12" i="1" s="1"/>
  <c r="M11" i="1"/>
  <c r="N11" i="1" s="1"/>
  <c r="K11" i="1"/>
  <c r="L11" i="1" s="1"/>
  <c r="I11" i="1"/>
  <c r="G11" i="1"/>
  <c r="H11" i="1" s="1"/>
  <c r="R6" i="1" l="1"/>
  <c r="R24" i="1"/>
  <c r="R7" i="1"/>
  <c r="R13" i="1"/>
  <c r="R14" i="1"/>
  <c r="R23" i="1"/>
  <c r="R15" i="1"/>
  <c r="R16" i="1"/>
  <c r="R18" i="1"/>
  <c r="R17" i="1"/>
  <c r="R19" i="1"/>
  <c r="R20" i="1"/>
  <c r="R21" i="1"/>
  <c r="R22" i="1"/>
  <c r="R11" i="1"/>
  <c r="R12" i="1"/>
  <c r="R25" i="1"/>
</calcChain>
</file>

<file path=xl/sharedStrings.xml><?xml version="1.0" encoding="utf-8"?>
<sst xmlns="http://schemas.openxmlformats.org/spreadsheetml/2006/main" count="136" uniqueCount="85">
  <si>
    <t>Nimi</t>
  </si>
  <si>
    <t>Kaugus</t>
  </si>
  <si>
    <t>Kuul</t>
  </si>
  <si>
    <t>Kõrgus</t>
  </si>
  <si>
    <t>1000m</t>
  </si>
  <si>
    <t>Kokku</t>
  </si>
  <si>
    <t>Andrus Mutli</t>
  </si>
  <si>
    <t>M</t>
  </si>
  <si>
    <t>M50</t>
  </si>
  <si>
    <t>Aavo Kergand</t>
  </si>
  <si>
    <t>M70</t>
  </si>
  <si>
    <t>Marko Ulla</t>
  </si>
  <si>
    <t>Valeri Fedjushin</t>
  </si>
  <si>
    <t>Narva SVK</t>
  </si>
  <si>
    <t>M60</t>
  </si>
  <si>
    <t>Paavo Kais</t>
  </si>
  <si>
    <t>Artur Saaliste</t>
  </si>
  <si>
    <t>M35</t>
  </si>
  <si>
    <t>Ivar Raig</t>
  </si>
  <si>
    <t>M65</t>
  </si>
  <si>
    <t>Kuldar Tamm</t>
  </si>
  <si>
    <t>M45</t>
  </si>
  <si>
    <t>Dmitri Tee</t>
  </si>
  <si>
    <t>Airos Lain</t>
  </si>
  <si>
    <t>Henri Kaarma</t>
  </si>
  <si>
    <t>Priit Jõgi</t>
  </si>
  <si>
    <t>Valeriy Chigasov</t>
  </si>
  <si>
    <t>Elmo Oidermaa</t>
  </si>
  <si>
    <t>Martti Lainurm</t>
  </si>
  <si>
    <t>Aalo Parmas</t>
  </si>
  <si>
    <t>Rõõmu Aiand OÜ</t>
  </si>
  <si>
    <t>Mari Piir</t>
  </si>
  <si>
    <t>N</t>
  </si>
  <si>
    <t>N50</t>
  </si>
  <si>
    <t>Laidy Proosväli</t>
  </si>
  <si>
    <t>N40</t>
  </si>
  <si>
    <t>Eesti Meistrivõistlused viievõistluses.</t>
  </si>
  <si>
    <t>NAISED</t>
  </si>
  <si>
    <t>MEHED</t>
  </si>
  <si>
    <t>Tartu KEVEK</t>
  </si>
  <si>
    <t xml:space="preserve">Tartu  </t>
  </si>
  <si>
    <t>Põlvamaa</t>
  </si>
  <si>
    <t>Tallinn</t>
  </si>
  <si>
    <t>Haapsalu</t>
  </si>
  <si>
    <t>Tallinna SVK</t>
  </si>
  <si>
    <t xml:space="preserve">Tallinn </t>
  </si>
  <si>
    <t>DNF</t>
  </si>
  <si>
    <t>DNS</t>
  </si>
  <si>
    <t>Tartu Ülikooli Spordihoone, 15.01.2022</t>
  </si>
  <si>
    <t>Sugu</t>
  </si>
  <si>
    <t>60m tj</t>
  </si>
  <si>
    <t>60m tj p</t>
  </si>
  <si>
    <t>Kaugus p</t>
  </si>
  <si>
    <t>Kuul p</t>
  </si>
  <si>
    <t>Kõrgus p</t>
  </si>
  <si>
    <t>1000m p</t>
  </si>
  <si>
    <t>Koht</t>
  </si>
  <si>
    <t>I</t>
  </si>
  <si>
    <t>II</t>
  </si>
  <si>
    <t>III</t>
  </si>
  <si>
    <t>Sünniaeg</t>
  </si>
  <si>
    <t>Rapla SVK</t>
  </si>
  <si>
    <t>SK HUNGERBURG</t>
  </si>
  <si>
    <t>Sekretär: Mailis Lepparu</t>
  </si>
  <si>
    <t>Peakohtunik: Hendrik Kont</t>
  </si>
  <si>
    <t>Klubi, Linn</t>
  </si>
  <si>
    <t>VK</t>
  </si>
  <si>
    <t>800m</t>
  </si>
  <si>
    <t>800m p</t>
  </si>
  <si>
    <t>3.27.64</t>
  </si>
  <si>
    <t>3.01.30</t>
  </si>
  <si>
    <t>3.08.73</t>
  </si>
  <si>
    <t>4.26.32</t>
  </si>
  <si>
    <t>3.28.55</t>
  </si>
  <si>
    <t>4.30.31</t>
  </si>
  <si>
    <t>3.56.31</t>
  </si>
  <si>
    <t>3.21.58</t>
  </si>
  <si>
    <t>4.21.28</t>
  </si>
  <si>
    <t>3.48.31</t>
  </si>
  <si>
    <t>3.42.77</t>
  </si>
  <si>
    <t>3.26.29</t>
  </si>
  <si>
    <t>3.18.62</t>
  </si>
  <si>
    <t>4.56.02</t>
  </si>
  <si>
    <t>3.59.24</t>
  </si>
  <si>
    <t>5.04.67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</si>
</sst>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(* #,##0_);_(* \(#,##0\);_(* &quot;-&quot;_);_(@_)"/>
    <numFmt numFmtId="169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2"/>
      <color theme="4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theme="4" tint="-0.249977111117893"/>
      <name val="Calibri"/>
      <family val="2"/>
      <charset val="186"/>
      <scheme val="minor"/>
    </font>
    <font>
      <b/>
      <sz val="14"/>
      <color rgb="FF0070C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b/>
      <sz val="12"/>
      <color theme="5" tint="-0.249977111117893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2" fontId="0" fillId="0" borderId="0" xfId="0" applyNumberFormat="1"/>
    <xf numFmtId="165" fontId="2" fillId="0" borderId="0" xfId="1" applyFont="1" applyAlignment="1">
      <alignment horizontal="center"/>
    </xf>
    <xf numFmtId="165" fontId="2" fillId="0" borderId="0" xfId="1" applyFont="1" applyFill="1" applyAlignment="1">
      <alignment horizontal="center"/>
    </xf>
    <xf numFmtId="1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7" fillId="0" borderId="0" xfId="0" applyFont="1"/>
    <xf numFmtId="14" fontId="7" fillId="0" borderId="0" xfId="0" applyNumberFormat="1" applyFont="1"/>
    <xf numFmtId="0" fontId="8" fillId="0" borderId="0" xfId="0" applyFont="1"/>
    <xf numFmtId="0" fontId="9" fillId="0" borderId="0" xfId="0" applyFont="1"/>
    <xf numFmtId="14" fontId="10" fillId="0" borderId="0" xfId="0" applyNumberFormat="1" applyFont="1"/>
    <xf numFmtId="0" fontId="1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169" fontId="0" fillId="0" borderId="0" xfId="0" applyNumberFormat="1"/>
    <xf numFmtId="49" fontId="0" fillId="0" borderId="0" xfId="0" applyNumberFormat="1"/>
    <xf numFmtId="49" fontId="12" fillId="0" borderId="0" xfId="0" applyNumberFormat="1" applyFont="1"/>
    <xf numFmtId="3" fontId="2" fillId="0" borderId="0" xfId="1" applyNumberFormat="1" applyFont="1" applyAlignment="1">
      <alignment horizontal="right"/>
    </xf>
    <xf numFmtId="165" fontId="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the/Firmasport%20Dropbox/Hendrik%20Kont/Firmasport%202016/1%20Vennad%20Ehitus%207v&#245;istlus/2022/VE7_Koondtabe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emite põhjad"/>
      <sheetName val="Võistkond"/>
      <sheetName val="Individuaal (7)"/>
      <sheetName val="Individuaal (5)"/>
      <sheetName val="Sheet1"/>
      <sheetName val="60m"/>
      <sheetName val="Kaugus"/>
      <sheetName val="Kuul"/>
      <sheetName val="60mtj"/>
      <sheetName val="Kõrgus"/>
      <sheetName val="Teivas"/>
      <sheetName val="800_1000m 7"/>
      <sheetName val="800_1000m"/>
      <sheetName val="Koond"/>
      <sheetName val="Koond 5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NR</v>
          </cell>
          <cell r="B1" t="str">
            <v>Tulemus</v>
          </cell>
        </row>
        <row r="2">
          <cell r="A2" t="str">
            <v>Peeter Paul Kollist</v>
          </cell>
          <cell r="B2">
            <v>6.07</v>
          </cell>
        </row>
        <row r="3">
          <cell r="A3" t="str">
            <v>Karl Kristjan Kajak</v>
          </cell>
          <cell r="B3">
            <v>5.85</v>
          </cell>
        </row>
        <row r="4">
          <cell r="A4" t="str">
            <v>Paavo Kais</v>
          </cell>
          <cell r="B4">
            <v>4.78</v>
          </cell>
        </row>
        <row r="5">
          <cell r="A5" t="str">
            <v>Allan Aim</v>
          </cell>
          <cell r="B5" t="str">
            <v xml:space="preserve"> </v>
          </cell>
        </row>
        <row r="6">
          <cell r="A6" t="str">
            <v>Mattis Torn</v>
          </cell>
          <cell r="B6">
            <v>5.71</v>
          </cell>
        </row>
        <row r="7">
          <cell r="A7" t="str">
            <v>Airos Lain</v>
          </cell>
          <cell r="B7">
            <v>5.66</v>
          </cell>
        </row>
        <row r="8">
          <cell r="A8" t="str">
            <v>Artur Saaliste</v>
          </cell>
          <cell r="B8">
            <v>5.6</v>
          </cell>
        </row>
        <row r="9">
          <cell r="A9" t="str">
            <v>Kristjan Pae</v>
          </cell>
          <cell r="B9">
            <v>5.52</v>
          </cell>
        </row>
        <row r="10">
          <cell r="A10" t="str">
            <v>Kevin Urb</v>
          </cell>
          <cell r="B10">
            <v>5.42</v>
          </cell>
        </row>
        <row r="11">
          <cell r="A11" t="str">
            <v>Johannes Theodor Kollist</v>
          </cell>
          <cell r="B11">
            <v>5.4</v>
          </cell>
        </row>
        <row r="12">
          <cell r="A12" t="str">
            <v>Andres Joosep</v>
          </cell>
          <cell r="B12">
            <v>5.39</v>
          </cell>
        </row>
        <row r="13">
          <cell r="A13" t="str">
            <v>Kuldar Tamm</v>
          </cell>
          <cell r="B13">
            <v>5.36</v>
          </cell>
        </row>
        <row r="14">
          <cell r="A14" t="str">
            <v>Kaspar Aleks Kala</v>
          </cell>
          <cell r="B14">
            <v>5.33</v>
          </cell>
        </row>
        <row r="15">
          <cell r="A15" t="str">
            <v>Jaan Särg</v>
          </cell>
          <cell r="B15">
            <v>5.3</v>
          </cell>
        </row>
        <row r="16">
          <cell r="A16" t="str">
            <v>Marko Ulla</v>
          </cell>
          <cell r="B16">
            <v>5.15</v>
          </cell>
        </row>
        <row r="17">
          <cell r="A17" t="str">
            <v>Mark Kristohver Emmerich</v>
          </cell>
          <cell r="B17">
            <v>4.96</v>
          </cell>
        </row>
        <row r="18">
          <cell r="A18" t="str">
            <v>Henri Kaarma</v>
          </cell>
          <cell r="B18">
            <v>4.43</v>
          </cell>
        </row>
        <row r="20">
          <cell r="A20" t="str">
            <v>Valeri Fedjushin</v>
          </cell>
          <cell r="B20">
            <v>4.9400000000000004</v>
          </cell>
        </row>
        <row r="21">
          <cell r="A21" t="str">
            <v>Dmitri Tee</v>
          </cell>
          <cell r="B21">
            <v>5.21</v>
          </cell>
        </row>
        <row r="22">
          <cell r="A22" t="str">
            <v>Andrus Mutli</v>
          </cell>
          <cell r="B22">
            <v>5.55</v>
          </cell>
        </row>
        <row r="23">
          <cell r="A23" t="str">
            <v>Aavo Kergand</v>
          </cell>
          <cell r="B23">
            <v>3.91</v>
          </cell>
        </row>
        <row r="24">
          <cell r="A24" t="str">
            <v>Valeriy Chigasov</v>
          </cell>
          <cell r="B24">
            <v>4.01</v>
          </cell>
        </row>
        <row r="25">
          <cell r="A25" t="str">
            <v>Mari Piir</v>
          </cell>
          <cell r="B25">
            <v>4.29</v>
          </cell>
        </row>
        <row r="26">
          <cell r="A26" t="str">
            <v>Ivar Raig</v>
          </cell>
          <cell r="B26">
            <v>3.59</v>
          </cell>
        </row>
        <row r="27">
          <cell r="A27" t="str">
            <v>Elmo Oidermaa</v>
          </cell>
          <cell r="B27">
            <v>3.42</v>
          </cell>
        </row>
        <row r="29">
          <cell r="A29" t="str">
            <v>Laidy Proosväli</v>
          </cell>
          <cell r="B29">
            <v>3.93</v>
          </cell>
        </row>
        <row r="30">
          <cell r="A30" t="str">
            <v>Krista Leibak</v>
          </cell>
          <cell r="B30">
            <v>4.1100000000000003</v>
          </cell>
        </row>
        <row r="31">
          <cell r="A31" t="str">
            <v>Kai-Liis Oja</v>
          </cell>
          <cell r="B31">
            <v>3.08</v>
          </cell>
        </row>
        <row r="32">
          <cell r="A32" t="str">
            <v>Aalo Parmas</v>
          </cell>
          <cell r="B32">
            <v>2.9</v>
          </cell>
        </row>
        <row r="33">
          <cell r="A33" t="str">
            <v>Taavi Tull</v>
          </cell>
          <cell r="B33">
            <v>4.53</v>
          </cell>
        </row>
        <row r="34">
          <cell r="A34" t="str">
            <v>Vahur Mäe</v>
          </cell>
          <cell r="B34">
            <v>5.0599999999999996</v>
          </cell>
        </row>
        <row r="35">
          <cell r="A35" t="str">
            <v>Lizett Käos</v>
          </cell>
          <cell r="B35">
            <v>3.72</v>
          </cell>
        </row>
        <row r="36">
          <cell r="A36" t="str">
            <v>Mart Raus</v>
          </cell>
          <cell r="B36">
            <v>5.1100000000000003</v>
          </cell>
        </row>
        <row r="37">
          <cell r="A37" t="str">
            <v>Martti Lainurm</v>
          </cell>
          <cell r="B37">
            <v>4.1500000000000004</v>
          </cell>
        </row>
        <row r="38">
          <cell r="A38" t="str">
            <v>Siim Paalo</v>
          </cell>
          <cell r="B38">
            <v>5.42</v>
          </cell>
        </row>
        <row r="39">
          <cell r="A39" t="str">
            <v>Raiko Rudissaar</v>
          </cell>
          <cell r="B39">
            <v>4.58</v>
          </cell>
        </row>
        <row r="40">
          <cell r="A40" t="str">
            <v>Indrek Haldma</v>
          </cell>
          <cell r="B40">
            <v>5.21</v>
          </cell>
        </row>
        <row r="41">
          <cell r="A41" t="str">
            <v>Hardy Ivask</v>
          </cell>
          <cell r="B41">
            <v>4.0199999999999996</v>
          </cell>
        </row>
        <row r="42">
          <cell r="A42" t="str">
            <v>Marili Orro</v>
          </cell>
          <cell r="B42">
            <v>4.09</v>
          </cell>
        </row>
        <row r="43">
          <cell r="A43" t="str">
            <v>Priit Jõgi</v>
          </cell>
          <cell r="B43">
            <v>3.79</v>
          </cell>
        </row>
        <row r="44">
          <cell r="A44" t="str">
            <v>Epp Lorents</v>
          </cell>
          <cell r="B44">
            <v>4.46</v>
          </cell>
        </row>
      </sheetData>
      <sheetData sheetId="7" refreshError="1">
        <row r="1">
          <cell r="A1" t="str">
            <v>NR</v>
          </cell>
          <cell r="B1" t="str">
            <v>Tulemus</v>
          </cell>
        </row>
        <row r="2">
          <cell r="A2" t="str">
            <v>Allan Aim</v>
          </cell>
          <cell r="B2">
            <v>10.97</v>
          </cell>
        </row>
        <row r="3">
          <cell r="A3" t="str">
            <v>Mattis Torn</v>
          </cell>
          <cell r="B3">
            <v>9.64</v>
          </cell>
        </row>
        <row r="4">
          <cell r="A4" t="str">
            <v>Marko Ulla</v>
          </cell>
          <cell r="B4">
            <v>11.4</v>
          </cell>
        </row>
        <row r="5">
          <cell r="A5" t="str">
            <v>Johannes Theodor Kollist</v>
          </cell>
          <cell r="B5">
            <v>8.31</v>
          </cell>
        </row>
        <row r="6">
          <cell r="A6" t="str">
            <v>Andres Joosep</v>
          </cell>
          <cell r="B6">
            <v>7.65</v>
          </cell>
        </row>
        <row r="7">
          <cell r="A7" t="str">
            <v>Peeter Paul Kollist</v>
          </cell>
          <cell r="B7">
            <v>11.22</v>
          </cell>
        </row>
        <row r="8">
          <cell r="A8" t="str">
            <v>Airos Lain</v>
          </cell>
          <cell r="B8">
            <v>11.02</v>
          </cell>
        </row>
        <row r="9">
          <cell r="A9" t="str">
            <v>Kuldar Tamm</v>
          </cell>
          <cell r="B9">
            <v>9.41</v>
          </cell>
        </row>
        <row r="10">
          <cell r="A10" t="str">
            <v>Artur Saaliste</v>
          </cell>
          <cell r="B10">
            <v>11.63</v>
          </cell>
        </row>
        <row r="11">
          <cell r="A11" t="str">
            <v>Henri Kaarma</v>
          </cell>
          <cell r="B11">
            <v>8.75</v>
          </cell>
        </row>
        <row r="12">
          <cell r="A12" t="str">
            <v>Paavo Kais</v>
          </cell>
          <cell r="B12">
            <v>9.84</v>
          </cell>
        </row>
        <row r="13">
          <cell r="A13" t="str">
            <v>Jaan Särg</v>
          </cell>
          <cell r="B13">
            <v>8.2799999999999994</v>
          </cell>
        </row>
        <row r="14">
          <cell r="A14" t="str">
            <v>Kaspar Aleks Kala</v>
          </cell>
          <cell r="B14">
            <v>7.68</v>
          </cell>
        </row>
        <row r="15">
          <cell r="A15" t="str">
            <v>Kevin Urb</v>
          </cell>
          <cell r="B15">
            <v>8.1</v>
          </cell>
        </row>
        <row r="16">
          <cell r="A16" t="str">
            <v>Mark Kristohver Emmerich</v>
          </cell>
          <cell r="B16">
            <v>11.26</v>
          </cell>
        </row>
        <row r="17">
          <cell r="A17" t="str">
            <v>Kristjan Pae</v>
          </cell>
          <cell r="B17">
            <v>9.18</v>
          </cell>
        </row>
        <row r="18">
          <cell r="A18" t="str">
            <v>Karl Kristjan Kajak</v>
          </cell>
          <cell r="B18">
            <v>11.11</v>
          </cell>
        </row>
        <row r="20">
          <cell r="A20" t="str">
            <v>Valeri Fedjushin</v>
          </cell>
          <cell r="B20">
            <v>9.57</v>
          </cell>
        </row>
        <row r="21">
          <cell r="A21" t="str">
            <v>Dmitri Tee</v>
          </cell>
          <cell r="B21">
            <v>8.0399999999999991</v>
          </cell>
        </row>
        <row r="22">
          <cell r="A22" t="str">
            <v>Andrus Mutli</v>
          </cell>
          <cell r="B22">
            <v>10.61</v>
          </cell>
        </row>
        <row r="23">
          <cell r="A23" t="str">
            <v>Aavo Kergand</v>
          </cell>
          <cell r="B23">
            <v>10.36</v>
          </cell>
        </row>
        <row r="24">
          <cell r="A24" t="str">
            <v>Elmo Oidermaa</v>
          </cell>
          <cell r="B24">
            <v>10.38</v>
          </cell>
        </row>
        <row r="25">
          <cell r="A25" t="str">
            <v>Valeriy Chigasov</v>
          </cell>
          <cell r="B25">
            <v>10.81</v>
          </cell>
        </row>
        <row r="26">
          <cell r="A26" t="str">
            <v>Mari Piir</v>
          </cell>
          <cell r="B26">
            <v>10.98</v>
          </cell>
        </row>
        <row r="27">
          <cell r="A27" t="str">
            <v>Ivar Raig</v>
          </cell>
          <cell r="B27">
            <v>10.08</v>
          </cell>
        </row>
        <row r="28">
          <cell r="A28" t="str">
            <v>Peeter Kuznetsov</v>
          </cell>
          <cell r="B28">
            <v>10.17</v>
          </cell>
        </row>
        <row r="30">
          <cell r="A30" t="str">
            <v>Laidy Proosväli</v>
          </cell>
          <cell r="B30">
            <v>9.18</v>
          </cell>
        </row>
        <row r="31">
          <cell r="A31" t="str">
            <v>Krista Leibak</v>
          </cell>
          <cell r="B31">
            <v>7.47</v>
          </cell>
        </row>
        <row r="32">
          <cell r="A32" t="str">
            <v>Kai-Liis Oja</v>
          </cell>
          <cell r="B32">
            <v>5.55</v>
          </cell>
        </row>
        <row r="33">
          <cell r="A33" t="str">
            <v>Aalo Parmas</v>
          </cell>
          <cell r="B33">
            <v>7.16</v>
          </cell>
        </row>
        <row r="34">
          <cell r="A34" t="str">
            <v>Taavi Tull</v>
          </cell>
          <cell r="B34">
            <v>9.65</v>
          </cell>
        </row>
        <row r="35">
          <cell r="A35" t="str">
            <v>Vahur Mäe</v>
          </cell>
          <cell r="B35">
            <v>8.1</v>
          </cell>
        </row>
        <row r="36">
          <cell r="A36" t="str">
            <v>Lizett Käos</v>
          </cell>
          <cell r="B36">
            <v>6.9</v>
          </cell>
        </row>
        <row r="37">
          <cell r="A37" t="str">
            <v>Mart Raus</v>
          </cell>
          <cell r="B37">
            <v>8.9600000000000009</v>
          </cell>
        </row>
        <row r="38">
          <cell r="A38" t="str">
            <v>Martti Lainurm</v>
          </cell>
          <cell r="B38">
            <v>9.23</v>
          </cell>
        </row>
        <row r="39">
          <cell r="A39" t="str">
            <v>Siim Paalo</v>
          </cell>
          <cell r="B39">
            <v>10.16</v>
          </cell>
        </row>
        <row r="40">
          <cell r="A40" t="str">
            <v>Raiko Rudissaar</v>
          </cell>
          <cell r="B40">
            <v>8.64</v>
          </cell>
        </row>
        <row r="41">
          <cell r="A41" t="str">
            <v>Indrek Haldma</v>
          </cell>
          <cell r="B41">
            <v>9.67</v>
          </cell>
        </row>
        <row r="42">
          <cell r="A42" t="str">
            <v>Hardy Ivask</v>
          </cell>
          <cell r="B42">
            <v>7.56</v>
          </cell>
        </row>
        <row r="43">
          <cell r="A43" t="str">
            <v>Marili Orro</v>
          </cell>
          <cell r="B43">
            <v>7.42</v>
          </cell>
        </row>
        <row r="44">
          <cell r="A44" t="str">
            <v>Priit Jõgi</v>
          </cell>
          <cell r="B44">
            <v>9.83</v>
          </cell>
        </row>
      </sheetData>
      <sheetData sheetId="8" refreshError="1">
        <row r="1">
          <cell r="A1" t="str">
            <v>NR</v>
          </cell>
          <cell r="B1" t="str">
            <v>Tulemus</v>
          </cell>
        </row>
        <row r="2">
          <cell r="A2" t="str">
            <v>Andrus Mutli</v>
          </cell>
          <cell r="B2">
            <v>9.59</v>
          </cell>
        </row>
        <row r="3">
          <cell r="A3" t="str">
            <v>Mari Piir</v>
          </cell>
          <cell r="B3">
            <v>10.08</v>
          </cell>
        </row>
        <row r="4">
          <cell r="A4" t="str">
            <v>Valeri Fedjushin</v>
          </cell>
          <cell r="B4">
            <v>10.48</v>
          </cell>
        </row>
        <row r="5">
          <cell r="A5" t="str">
            <v>Dmitri Tee</v>
          </cell>
          <cell r="B5">
            <v>11.22</v>
          </cell>
        </row>
        <row r="6">
          <cell r="A6" t="str">
            <v>Aavo Kergand</v>
          </cell>
          <cell r="B6">
            <v>11.51</v>
          </cell>
        </row>
        <row r="7">
          <cell r="A7" t="str">
            <v>Valeriy Chigasov</v>
          </cell>
          <cell r="B7">
            <v>11.73</v>
          </cell>
        </row>
        <row r="8">
          <cell r="A8" t="str">
            <v>Ivar Raig</v>
          </cell>
          <cell r="B8">
            <v>13.85</v>
          </cell>
        </row>
        <row r="9">
          <cell r="A9" t="str">
            <v>Raiko Rudissaar</v>
          </cell>
          <cell r="B9">
            <v>12.02</v>
          </cell>
        </row>
        <row r="10">
          <cell r="A10" t="str">
            <v>Indrek Haldma</v>
          </cell>
          <cell r="B10">
            <v>12.19</v>
          </cell>
        </row>
        <row r="11">
          <cell r="A11" t="str">
            <v>Martti Lainurm</v>
          </cell>
          <cell r="B11">
            <v>12.25</v>
          </cell>
        </row>
        <row r="12">
          <cell r="A12" t="str">
            <v>Lizett Käos</v>
          </cell>
          <cell r="B12">
            <v>14.1</v>
          </cell>
        </row>
        <row r="13">
          <cell r="A13" t="str">
            <v>Marili Orro</v>
          </cell>
          <cell r="B13">
            <v>14.57</v>
          </cell>
        </row>
        <row r="14">
          <cell r="A14" t="str">
            <v>Mart Raus</v>
          </cell>
          <cell r="B14">
            <v>10.130000000000001</v>
          </cell>
        </row>
        <row r="15">
          <cell r="A15" t="str">
            <v>Siim Paalo</v>
          </cell>
          <cell r="B15">
            <v>10.7</v>
          </cell>
        </row>
        <row r="16">
          <cell r="A16" t="str">
            <v>Vahur Mäe</v>
          </cell>
          <cell r="B16">
            <v>11.21</v>
          </cell>
        </row>
        <row r="17">
          <cell r="A17" t="str">
            <v>Taavi Tull</v>
          </cell>
          <cell r="B17">
            <v>12.37</v>
          </cell>
        </row>
        <row r="18">
          <cell r="A18" t="str">
            <v>Hardy Ivask</v>
          </cell>
          <cell r="B18">
            <v>13.75</v>
          </cell>
        </row>
        <row r="19">
          <cell r="A19" t="str">
            <v>Krista Leibak</v>
          </cell>
          <cell r="B19">
            <v>12.01</v>
          </cell>
        </row>
        <row r="20">
          <cell r="A20" t="str">
            <v>Laidy Proosväli</v>
          </cell>
          <cell r="B20">
            <v>12.45</v>
          </cell>
        </row>
        <row r="21">
          <cell r="A21" t="str">
            <v>Priit Jõgi</v>
          </cell>
          <cell r="B21">
            <v>13.07</v>
          </cell>
        </row>
        <row r="22">
          <cell r="A22" t="str">
            <v>Kai-Liis Oja</v>
          </cell>
          <cell r="B22">
            <v>14.36</v>
          </cell>
        </row>
        <row r="23">
          <cell r="A23" t="str">
            <v>Aalo Parmas</v>
          </cell>
          <cell r="B23">
            <v>16.77</v>
          </cell>
        </row>
        <row r="25">
          <cell r="A25" t="str">
            <v>Allan Aim</v>
          </cell>
          <cell r="B25">
            <v>10.28</v>
          </cell>
        </row>
        <row r="26">
          <cell r="A26" t="str">
            <v>Mattis Torn</v>
          </cell>
          <cell r="B26">
            <v>11.38</v>
          </cell>
        </row>
        <row r="27">
          <cell r="A27" t="str">
            <v>Johannes Theodor Kollist</v>
          </cell>
          <cell r="B27">
            <v>12.21</v>
          </cell>
        </row>
        <row r="28">
          <cell r="A28" t="str">
            <v>Andres Joosep</v>
          </cell>
          <cell r="B28">
            <v>12.64</v>
          </cell>
        </row>
        <row r="29">
          <cell r="A29" t="str">
            <v>Karl Kristjan Kajak</v>
          </cell>
          <cell r="B29">
            <v>9.69</v>
          </cell>
        </row>
        <row r="30">
          <cell r="A30" t="str">
            <v>Airos Lain</v>
          </cell>
          <cell r="B30">
            <v>10.68</v>
          </cell>
        </row>
        <row r="31">
          <cell r="A31" t="str">
            <v>Marko Ulla</v>
          </cell>
          <cell r="B31">
            <v>9.51</v>
          </cell>
        </row>
        <row r="32">
          <cell r="A32" t="str">
            <v>Artur Saaliste</v>
          </cell>
          <cell r="B32">
            <v>10.27</v>
          </cell>
        </row>
        <row r="33">
          <cell r="A33" t="str">
            <v>Jaan Särg</v>
          </cell>
          <cell r="B33">
            <v>10.43</v>
          </cell>
        </row>
        <row r="34">
          <cell r="A34" t="str">
            <v>Kuldar Tamm</v>
          </cell>
          <cell r="B34">
            <v>11.43</v>
          </cell>
        </row>
        <row r="35">
          <cell r="A35" t="str">
            <v>Henri Kaarma</v>
          </cell>
          <cell r="B35">
            <v>11.82</v>
          </cell>
        </row>
        <row r="36">
          <cell r="A36" t="str">
            <v>Paavo Kais</v>
          </cell>
          <cell r="B36">
            <v>12.01</v>
          </cell>
        </row>
        <row r="37">
          <cell r="A37" t="str">
            <v>Peeter Paul Kollist</v>
          </cell>
          <cell r="B37">
            <v>9.93</v>
          </cell>
        </row>
        <row r="38">
          <cell r="A38" t="str">
            <v>Kevin Urb</v>
          </cell>
          <cell r="B38">
            <v>11.27</v>
          </cell>
        </row>
        <row r="39">
          <cell r="A39" t="str">
            <v>Kristjan Pae</v>
          </cell>
          <cell r="B39">
            <v>11.67</v>
          </cell>
        </row>
        <row r="40">
          <cell r="A40" t="str">
            <v>Kaspar Aleks Kala</v>
          </cell>
          <cell r="B40">
            <v>11.73</v>
          </cell>
        </row>
        <row r="41">
          <cell r="A41" t="str">
            <v>Mark Kristohver Emmerich</v>
          </cell>
          <cell r="B41">
            <v>12.23</v>
          </cell>
        </row>
      </sheetData>
      <sheetData sheetId="9" refreshError="1">
        <row r="1">
          <cell r="A1" t="str">
            <v>NR</v>
          </cell>
          <cell r="B1" t="str">
            <v>Tulemus</v>
          </cell>
        </row>
        <row r="2">
          <cell r="A2" t="str">
            <v>Allan Aim</v>
          </cell>
          <cell r="B2">
            <v>1.6</v>
          </cell>
        </row>
        <row r="3">
          <cell r="A3" t="str">
            <v>Mattis Torn</v>
          </cell>
          <cell r="B3">
            <v>1.6</v>
          </cell>
        </row>
        <row r="4">
          <cell r="A4" t="str">
            <v>Marko Ulla</v>
          </cell>
          <cell r="B4">
            <v>1.55</v>
          </cell>
        </row>
        <row r="5">
          <cell r="A5" t="str">
            <v>Johannes Theodor Kollist</v>
          </cell>
          <cell r="B5">
            <v>1.5</v>
          </cell>
        </row>
        <row r="6">
          <cell r="A6" t="str">
            <v>Andres Joosep</v>
          </cell>
          <cell r="B6">
            <v>1.6</v>
          </cell>
        </row>
        <row r="7">
          <cell r="A7" t="str">
            <v>Peeter Paul Kollist</v>
          </cell>
          <cell r="B7">
            <v>1.76</v>
          </cell>
        </row>
        <row r="8">
          <cell r="A8" t="str">
            <v>Airos Lain</v>
          </cell>
          <cell r="B8">
            <v>1.5</v>
          </cell>
        </row>
        <row r="9">
          <cell r="A9" t="str">
            <v>Kuldar Tamm</v>
          </cell>
          <cell r="B9">
            <v>1.55</v>
          </cell>
        </row>
        <row r="10">
          <cell r="A10" t="str">
            <v>Artur Saaliste</v>
          </cell>
          <cell r="B10">
            <v>1.6</v>
          </cell>
        </row>
        <row r="11">
          <cell r="A11" t="str">
            <v>Henri Kaarma</v>
          </cell>
          <cell r="B11">
            <v>1.4</v>
          </cell>
        </row>
        <row r="12">
          <cell r="A12" t="str">
            <v>Paavo Kais</v>
          </cell>
          <cell r="B12">
            <v>1.5</v>
          </cell>
        </row>
        <row r="13">
          <cell r="A13" t="str">
            <v>Jaan Särg</v>
          </cell>
          <cell r="B13">
            <v>1.65</v>
          </cell>
        </row>
        <row r="14">
          <cell r="A14" t="str">
            <v>Kaspar Aleks Kala</v>
          </cell>
          <cell r="B14">
            <v>1.65</v>
          </cell>
        </row>
        <row r="15">
          <cell r="A15" t="str">
            <v>Kevin Urb</v>
          </cell>
          <cell r="B15">
            <v>1.6</v>
          </cell>
        </row>
        <row r="16">
          <cell r="A16" t="str">
            <v>Mark Kristohver Emmerich</v>
          </cell>
          <cell r="B16">
            <v>1.5</v>
          </cell>
        </row>
        <row r="17">
          <cell r="A17" t="str">
            <v>Kristjan Pae</v>
          </cell>
          <cell r="B17">
            <v>1.55</v>
          </cell>
        </row>
        <row r="18">
          <cell r="A18" t="str">
            <v>Karl Kristjan Kajak</v>
          </cell>
          <cell r="B18">
            <v>1.79</v>
          </cell>
        </row>
        <row r="20">
          <cell r="A20" t="str">
            <v>Valeri Fedjushin</v>
          </cell>
          <cell r="B20">
            <v>1.5</v>
          </cell>
        </row>
        <row r="21">
          <cell r="A21" t="str">
            <v>Dmitri Tee</v>
          </cell>
          <cell r="B21">
            <v>1.45</v>
          </cell>
        </row>
        <row r="22">
          <cell r="A22" t="str">
            <v>Andrus Mutli</v>
          </cell>
          <cell r="B22">
            <v>1.56</v>
          </cell>
        </row>
        <row r="23">
          <cell r="A23" t="str">
            <v>Aavo Kergand</v>
          </cell>
          <cell r="B23">
            <v>1.29</v>
          </cell>
        </row>
        <row r="24">
          <cell r="A24" t="str">
            <v>Elmo Oidermaa</v>
          </cell>
          <cell r="B24">
            <v>1.2</v>
          </cell>
        </row>
        <row r="25">
          <cell r="A25" t="str">
            <v>Valeriy Chigasov</v>
          </cell>
          <cell r="B25" t="str">
            <v>NH</v>
          </cell>
        </row>
        <row r="26">
          <cell r="A26" t="str">
            <v>Mari Piir</v>
          </cell>
          <cell r="B26">
            <v>1.26</v>
          </cell>
        </row>
        <row r="27">
          <cell r="A27" t="str">
            <v>Ivar Raig</v>
          </cell>
          <cell r="B27">
            <v>1.26</v>
          </cell>
        </row>
        <row r="29">
          <cell r="A29" t="str">
            <v>Laidy Proosväli</v>
          </cell>
          <cell r="B29">
            <v>1.2</v>
          </cell>
        </row>
        <row r="30">
          <cell r="A30" t="str">
            <v>Krista Leibak</v>
          </cell>
          <cell r="B30">
            <v>1.3</v>
          </cell>
        </row>
        <row r="31">
          <cell r="A31" t="str">
            <v>Kai-Liis Oja</v>
          </cell>
          <cell r="B31">
            <v>1.1000000000000001</v>
          </cell>
        </row>
        <row r="32">
          <cell r="A32" t="str">
            <v>Aalo Parmas</v>
          </cell>
          <cell r="B32">
            <v>1.2</v>
          </cell>
        </row>
        <row r="33">
          <cell r="A33" t="str">
            <v>Taavi Tull</v>
          </cell>
          <cell r="B33">
            <v>1.35</v>
          </cell>
        </row>
        <row r="34">
          <cell r="A34" t="str">
            <v>Vahur Mäe</v>
          </cell>
          <cell r="B34">
            <v>1.4</v>
          </cell>
        </row>
        <row r="35">
          <cell r="A35" t="str">
            <v>Lizett Käos</v>
          </cell>
          <cell r="B35">
            <v>1.35</v>
          </cell>
        </row>
        <row r="36">
          <cell r="A36" t="str">
            <v>Mart Raus</v>
          </cell>
          <cell r="B36">
            <v>1.71</v>
          </cell>
        </row>
        <row r="37">
          <cell r="A37" t="str">
            <v>Martti Lainurm</v>
          </cell>
          <cell r="B37">
            <v>1.45</v>
          </cell>
        </row>
        <row r="38">
          <cell r="A38" t="str">
            <v>Siim Paalo</v>
          </cell>
          <cell r="B38">
            <v>1.59</v>
          </cell>
        </row>
        <row r="39">
          <cell r="A39" t="str">
            <v>Raiko Rudissaar</v>
          </cell>
          <cell r="B39">
            <v>1.4</v>
          </cell>
        </row>
        <row r="40">
          <cell r="A40" t="str">
            <v>Indrek Haldma</v>
          </cell>
          <cell r="B40">
            <v>1.53</v>
          </cell>
        </row>
        <row r="41">
          <cell r="A41" t="str">
            <v>Hardy Ivask</v>
          </cell>
          <cell r="B41">
            <v>1.1000000000000001</v>
          </cell>
        </row>
        <row r="42">
          <cell r="A42" t="str">
            <v>Marili Orro</v>
          </cell>
          <cell r="B42">
            <v>1.35</v>
          </cell>
        </row>
        <row r="43">
          <cell r="A43" t="str">
            <v>Priit Jõgi</v>
          </cell>
          <cell r="B43">
            <v>1.35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N30" sqref="N30"/>
    </sheetView>
  </sheetViews>
  <sheetFormatPr defaultColWidth="8.85546875" defaultRowHeight="15" x14ac:dyDescent="0.25"/>
  <cols>
    <col min="1" max="1" width="5.28515625" customWidth="1"/>
    <col min="2" max="2" width="15.5703125" customWidth="1"/>
    <col min="3" max="3" width="16.140625" customWidth="1"/>
    <col min="4" max="4" width="0.140625" customWidth="1"/>
    <col min="5" max="5" width="5.85546875" customWidth="1"/>
    <col min="6" max="6" width="10.140625" customWidth="1"/>
    <col min="7" max="7" width="7" customWidth="1"/>
    <col min="8" max="8" width="8.28515625" customWidth="1"/>
    <col min="9" max="9" width="7.5703125" customWidth="1"/>
    <col min="10" max="10" width="9.28515625" customWidth="1"/>
    <col min="11" max="11" width="5.42578125" bestFit="1" customWidth="1"/>
    <col min="12" max="12" width="8" bestFit="1" customWidth="1"/>
    <col min="13" max="13" width="7.5703125" customWidth="1"/>
    <col min="14" max="14" width="9" customWidth="1"/>
    <col min="15" max="15" width="0.140625" hidden="1" customWidth="1"/>
    <col min="16" max="16" width="9" customWidth="1"/>
    <col min="17" max="17" width="8.85546875" customWidth="1"/>
    <col min="18" max="18" width="7.5703125" bestFit="1" customWidth="1"/>
  </cols>
  <sheetData>
    <row r="1" spans="1:19" ht="18.75" x14ac:dyDescent="0.3">
      <c r="C1" s="10" t="s">
        <v>36</v>
      </c>
      <c r="D1" s="11"/>
    </row>
    <row r="2" spans="1:19" ht="15.75" x14ac:dyDescent="0.25">
      <c r="C2" s="12" t="s">
        <v>48</v>
      </c>
      <c r="D2" s="11"/>
    </row>
    <row r="3" spans="1:19" ht="15.75" x14ac:dyDescent="0.25">
      <c r="C3" s="5"/>
    </row>
    <row r="4" spans="1:19" ht="15.75" x14ac:dyDescent="0.25">
      <c r="B4" s="13" t="s">
        <v>37</v>
      </c>
    </row>
    <row r="5" spans="1:19" ht="15.75" x14ac:dyDescent="0.25">
      <c r="A5" s="8" t="s">
        <v>56</v>
      </c>
      <c r="B5" s="8" t="s">
        <v>0</v>
      </c>
      <c r="C5" s="8" t="s">
        <v>65</v>
      </c>
      <c r="D5" s="8" t="s">
        <v>49</v>
      </c>
      <c r="E5" s="8" t="s">
        <v>66</v>
      </c>
      <c r="F5" s="9" t="s">
        <v>60</v>
      </c>
      <c r="G5" s="8" t="s">
        <v>50</v>
      </c>
      <c r="H5" s="8" t="s">
        <v>51</v>
      </c>
      <c r="I5" s="8" t="s">
        <v>1</v>
      </c>
      <c r="J5" s="8" t="s">
        <v>52</v>
      </c>
      <c r="K5" s="8" t="s">
        <v>2</v>
      </c>
      <c r="L5" s="8" t="s">
        <v>53</v>
      </c>
      <c r="M5" s="8" t="s">
        <v>3</v>
      </c>
      <c r="N5" s="8" t="s">
        <v>54</v>
      </c>
      <c r="O5" s="8"/>
      <c r="P5" s="8" t="s">
        <v>67</v>
      </c>
      <c r="Q5" s="8" t="s">
        <v>68</v>
      </c>
      <c r="R5" s="8" t="s">
        <v>5</v>
      </c>
      <c r="S5" s="6"/>
    </row>
    <row r="6" spans="1:19" ht="15.75" x14ac:dyDescent="0.25">
      <c r="A6" s="15" t="s">
        <v>57</v>
      </c>
      <c r="B6" t="s">
        <v>31</v>
      </c>
      <c r="C6" t="s">
        <v>44</v>
      </c>
      <c r="D6" t="s">
        <v>32</v>
      </c>
      <c r="E6" t="s">
        <v>33</v>
      </c>
      <c r="F6" s="1">
        <v>25416</v>
      </c>
      <c r="G6">
        <f>VLOOKUP($B6,'[1]60mtj'!A:B,2,FALSE)</f>
        <v>10.08</v>
      </c>
      <c r="H6" s="3">
        <f>TRUNC(20.0479*(17-ROUNDUP(G6*0.8621,2))^1.835)</f>
        <v>976</v>
      </c>
      <c r="I6" s="2">
        <f>VLOOKUP(B6,[1]Kaugus!A:B,2,FALSE)</f>
        <v>4.29</v>
      </c>
      <c r="J6" s="3">
        <f>TRUNC(0.188807*(TRUNC(I6*100*1.2538,0)-210)^1.41)</f>
        <v>663</v>
      </c>
      <c r="K6" s="2">
        <f>VLOOKUP(B6,[1]Kuul!A:B,2,FALSE)</f>
        <v>10.98</v>
      </c>
      <c r="L6" s="3">
        <v>785</v>
      </c>
      <c r="M6" s="2">
        <f>VLOOKUP(B6,[1]Kõrgus!A:B,2,FALSE)</f>
        <v>1.26</v>
      </c>
      <c r="N6" s="21">
        <f>TRUNC(1.84523*(TRUNC(M6*100*1.2256,0)-75)^1.348)</f>
        <v>666</v>
      </c>
      <c r="P6" s="17" t="s">
        <v>69</v>
      </c>
      <c r="Q6" s="3">
        <v>357</v>
      </c>
      <c r="R6" s="7">
        <f>H6+J6+L6+N6+Q6</f>
        <v>3447</v>
      </c>
    </row>
    <row r="7" spans="1:19" ht="15.75" x14ac:dyDescent="0.25">
      <c r="A7" s="15" t="s">
        <v>58</v>
      </c>
      <c r="B7" t="s">
        <v>34</v>
      </c>
      <c r="C7" t="s">
        <v>45</v>
      </c>
      <c r="D7" t="s">
        <v>32</v>
      </c>
      <c r="E7" t="s">
        <v>35</v>
      </c>
      <c r="F7" s="1">
        <v>29387</v>
      </c>
      <c r="G7">
        <f>VLOOKUP($B7,'[1]60mtj'!A:B,2,FALSE)</f>
        <v>12.45</v>
      </c>
      <c r="H7" s="3">
        <f>TRUNC(20.0479*(17-ROUNDUP(G7*0.906,2))^1.835)</f>
        <v>491</v>
      </c>
      <c r="I7" s="2">
        <f>VLOOKUP(B7,[1]Kaugus!A:B,2,FALSE)</f>
        <v>3.93</v>
      </c>
      <c r="J7" s="3">
        <f>TRUNC(0.188807*(TRUNC(I7*100*1.1101,0)-210)^1.41)</f>
        <v>393</v>
      </c>
      <c r="K7" s="2">
        <f>VLOOKUP(B7,[1]Kuul!A:B,2,FALSE)</f>
        <v>9.18</v>
      </c>
      <c r="L7" s="3">
        <f>TRUNC(56.0211*(TRUNC(K7*1.11,2)-1.5)^1.05)</f>
        <v>541</v>
      </c>
      <c r="M7" s="2">
        <f>VLOOKUP(B7,[1]Kõrgus!A:B,2,FALSE)</f>
        <v>1.2</v>
      </c>
      <c r="N7" s="21">
        <f>TRUNC(1.84523*(TRUNC(M7*100*1.1036,0)-75)^1.348)</f>
        <v>429</v>
      </c>
      <c r="P7" s="18" t="s">
        <v>70</v>
      </c>
      <c r="Q7" s="3">
        <v>434</v>
      </c>
      <c r="R7" s="7">
        <f>H7+J7+L7+N7+Q7</f>
        <v>2288</v>
      </c>
    </row>
    <row r="8" spans="1:19" ht="15.75" x14ac:dyDescent="0.25">
      <c r="A8" s="15"/>
      <c r="F8" s="1"/>
      <c r="H8" s="3"/>
      <c r="I8" s="2"/>
      <c r="J8" s="3"/>
      <c r="K8" s="2"/>
      <c r="L8" s="3"/>
      <c r="M8" s="2"/>
      <c r="N8" s="21"/>
      <c r="P8" s="18"/>
      <c r="Q8" s="3"/>
      <c r="R8" s="7"/>
    </row>
    <row r="9" spans="1:19" ht="15.75" x14ac:dyDescent="0.25">
      <c r="A9" s="8" t="s">
        <v>56</v>
      </c>
      <c r="B9" s="8" t="s">
        <v>0</v>
      </c>
      <c r="C9" s="8" t="s">
        <v>65</v>
      </c>
      <c r="D9" s="8" t="s">
        <v>49</v>
      </c>
      <c r="E9" s="8" t="s">
        <v>66</v>
      </c>
      <c r="F9" s="9" t="s">
        <v>60</v>
      </c>
      <c r="G9" s="8" t="s">
        <v>50</v>
      </c>
      <c r="H9" s="8" t="s">
        <v>51</v>
      </c>
      <c r="I9" s="8" t="s">
        <v>1</v>
      </c>
      <c r="J9" s="8" t="s">
        <v>52</v>
      </c>
      <c r="K9" s="8" t="s">
        <v>2</v>
      </c>
      <c r="L9" s="8" t="s">
        <v>53</v>
      </c>
      <c r="M9" s="8" t="s">
        <v>3</v>
      </c>
      <c r="N9" s="22" t="s">
        <v>54</v>
      </c>
      <c r="O9" s="8"/>
      <c r="P9" s="19" t="s">
        <v>4</v>
      </c>
      <c r="Q9" s="8" t="s">
        <v>55</v>
      </c>
      <c r="R9" s="8" t="s">
        <v>5</v>
      </c>
    </row>
    <row r="10" spans="1:19" ht="15.75" x14ac:dyDescent="0.25">
      <c r="B10" s="13" t="s">
        <v>38</v>
      </c>
      <c r="F10" s="1"/>
      <c r="H10" s="3"/>
      <c r="I10" s="2"/>
      <c r="J10" s="3"/>
      <c r="K10" s="2"/>
      <c r="L10" s="3"/>
      <c r="M10" s="2"/>
      <c r="N10" s="21"/>
      <c r="P10" s="18"/>
      <c r="Q10" s="3"/>
      <c r="R10" s="7"/>
    </row>
    <row r="11" spans="1:19" ht="15.75" x14ac:dyDescent="0.25">
      <c r="A11" s="15" t="s">
        <v>57</v>
      </c>
      <c r="B11" t="s">
        <v>6</v>
      </c>
      <c r="C11" t="s">
        <v>39</v>
      </c>
      <c r="D11" t="s">
        <v>7</v>
      </c>
      <c r="E11" t="s">
        <v>8</v>
      </c>
      <c r="F11" s="1">
        <v>25437</v>
      </c>
      <c r="G11">
        <f>VLOOKUP($B11,'[1]60mtj'!A:B,2,FALSE)</f>
        <v>9.59</v>
      </c>
      <c r="H11" s="3">
        <f>TRUNC(20.5173*(15.5-ROUNDUP(G11*0.8922,2))^1.92)</f>
        <v>846</v>
      </c>
      <c r="I11" s="2">
        <f>VLOOKUP(B11,[1]Kaugus!A:B,2,FALSE)</f>
        <v>5.55</v>
      </c>
      <c r="J11" s="3">
        <v>769</v>
      </c>
      <c r="K11" s="2">
        <f>VLOOKUP(B11,[1]Kuul!A:B,2,FALSE)</f>
        <v>10.61</v>
      </c>
      <c r="L11" s="3">
        <f>TRUNC(51.39*(TRUNC(K11*1.1721,2)-1.5)^1.05)</f>
        <v>633</v>
      </c>
      <c r="M11" s="2">
        <f>VLOOKUP(B11,[1]Kõrgus!A:B,2,FALSE)</f>
        <v>1.56</v>
      </c>
      <c r="N11" s="21">
        <f>TRUNC(0.8465*(TRUNC(M11*100*1.1617,0)-75)^1.42)</f>
        <v>636</v>
      </c>
      <c r="P11" s="23" t="s">
        <v>71</v>
      </c>
      <c r="Q11" s="21">
        <v>816</v>
      </c>
      <c r="R11" s="7">
        <f t="shared" ref="R11:R25" si="0">H11+J11+L11+N11+Q11</f>
        <v>3700</v>
      </c>
    </row>
    <row r="12" spans="1:19" ht="15.75" x14ac:dyDescent="0.25">
      <c r="A12" s="15" t="s">
        <v>58</v>
      </c>
      <c r="B12" t="s">
        <v>9</v>
      </c>
      <c r="C12" t="s">
        <v>61</v>
      </c>
      <c r="D12" t="s">
        <v>7</v>
      </c>
      <c r="E12" t="s">
        <v>10</v>
      </c>
      <c r="F12" s="1">
        <v>18857</v>
      </c>
      <c r="G12">
        <f>VLOOKUP($B12,'[1]60mtj'!A:B,2,FALSE)</f>
        <v>11.51</v>
      </c>
      <c r="H12" s="3">
        <f>TRUNC(20.5173*(15.5-ROUNDUP(G12*0.7714,2))^1.92)</f>
        <v>772</v>
      </c>
      <c r="I12" s="2">
        <f>VLOOKUP(B12,[1]Kaugus!A:B,2,FALSE)</f>
        <v>3.91</v>
      </c>
      <c r="J12" s="3">
        <f>TRUNC(0.14354*(TRUNC(I12*100*1.6482,0)-220)^1.4)</f>
        <v>684</v>
      </c>
      <c r="K12" s="2">
        <f>VLOOKUP(B12,[1]Kuul!A:B,2,FALSE)</f>
        <v>10.36</v>
      </c>
      <c r="L12" s="3">
        <f>TRUNC(51.39*(TRUNC(K12*1.3471,2)-1.5)^1.05)</f>
        <v>725</v>
      </c>
      <c r="M12" s="2">
        <f>VLOOKUP(B12,[1]Kõrgus!A:B,2,FALSE)</f>
        <v>1.29</v>
      </c>
      <c r="N12" s="21">
        <f>TRUNC(0.8465*(TRUNC(M12*100*1.4832,0)-75)^1.42)</f>
        <v>723</v>
      </c>
      <c r="P12" s="23" t="s">
        <v>72</v>
      </c>
      <c r="Q12" s="21">
        <v>575</v>
      </c>
      <c r="R12" s="7">
        <f t="shared" si="0"/>
        <v>3479</v>
      </c>
    </row>
    <row r="13" spans="1:19" ht="15.75" x14ac:dyDescent="0.25">
      <c r="A13" s="15" t="s">
        <v>59</v>
      </c>
      <c r="B13" t="s">
        <v>11</v>
      </c>
      <c r="C13" t="s">
        <v>43</v>
      </c>
      <c r="D13" t="s">
        <v>7</v>
      </c>
      <c r="E13" t="s">
        <v>8</v>
      </c>
      <c r="F13" s="1">
        <v>24981</v>
      </c>
      <c r="G13">
        <f>VLOOKUP($B13,'[1]60mtj'!A:B,2,FALSE)</f>
        <v>9.51</v>
      </c>
      <c r="H13" s="3">
        <f>TRUNC(20.5173*(15.5-ROUNDUP(G13*0.8922,2))^1.92)</f>
        <v>862</v>
      </c>
      <c r="I13" s="2">
        <f>VLOOKUP(B13,[1]Kaugus!A:B,2,FALSE)</f>
        <v>5.15</v>
      </c>
      <c r="J13" s="3">
        <f>TRUNC(0.14354*(TRUNC(I13*100*1.2289,0)-220)^1.4)</f>
        <v>657</v>
      </c>
      <c r="K13" s="2">
        <f>VLOOKUP(B13,[1]Kuul!A:B,2,FALSE)</f>
        <v>11.4</v>
      </c>
      <c r="L13" s="3">
        <f>TRUNC(51.39*(TRUNC(K13*1.1721,2)-1.5)^1.05)</f>
        <v>689</v>
      </c>
      <c r="M13" s="2">
        <f>VLOOKUP(B13,[1]Kõrgus!A:B,2,FALSE)</f>
        <v>1.55</v>
      </c>
      <c r="N13" s="21">
        <f>TRUNC(0.8465*(TRUNC(M13*100*1.1617,0)-75)^1.42)</f>
        <v>627</v>
      </c>
      <c r="P13" s="24" t="s">
        <v>73</v>
      </c>
      <c r="Q13" s="21">
        <v>639</v>
      </c>
      <c r="R13" s="7">
        <f t="shared" si="0"/>
        <v>3474</v>
      </c>
    </row>
    <row r="14" spans="1:19" ht="15.75" x14ac:dyDescent="0.25">
      <c r="A14" s="16">
        <v>4</v>
      </c>
      <c r="B14" t="s">
        <v>12</v>
      </c>
      <c r="C14" t="s">
        <v>13</v>
      </c>
      <c r="D14" t="s">
        <v>7</v>
      </c>
      <c r="E14" t="s">
        <v>14</v>
      </c>
      <c r="F14" s="1">
        <v>22170</v>
      </c>
      <c r="G14">
        <f>VLOOKUP($B14,'[1]60mtj'!A:B,2,FALSE)</f>
        <v>10.48</v>
      </c>
      <c r="H14" s="3">
        <f>TRUNC(20.5173*(15.5-ROUNDUP(G14*0.8312,2))^1.92)</f>
        <v>809</v>
      </c>
      <c r="I14" s="2">
        <f>VLOOKUP(B14,[1]Kaugus!A:B,2,FALSE)</f>
        <v>4.9400000000000004</v>
      </c>
      <c r="J14" s="3">
        <f>TRUNC(0.14354*(TRUNC(I14*100*1.4078,0)-220)^1.4)</f>
        <v>802</v>
      </c>
      <c r="K14" s="2">
        <f>VLOOKUP(B14,[1]Kuul!A:B,2,FALSE)</f>
        <v>9.57</v>
      </c>
      <c r="L14" s="3">
        <f>TRUNC(51.39*(TRUNC(K14*1.2482,2)-1.5)^1.05)</f>
        <v>603</v>
      </c>
      <c r="M14" s="2">
        <f>VLOOKUP(B14,[1]Kõrgus!A:B,2,FALSE)</f>
        <v>1.5</v>
      </c>
      <c r="N14" s="21">
        <f>TRUNC(0.8465*(TRUNC(M14*100*1.3025,0)-75)^1.42)</f>
        <v>758</v>
      </c>
      <c r="P14" s="24" t="s">
        <v>74</v>
      </c>
      <c r="Q14" s="21">
        <v>360</v>
      </c>
      <c r="R14" s="7">
        <f t="shared" si="0"/>
        <v>3332</v>
      </c>
    </row>
    <row r="15" spans="1:19" ht="15.75" x14ac:dyDescent="0.25">
      <c r="A15" s="16">
        <v>5</v>
      </c>
      <c r="B15" t="s">
        <v>16</v>
      </c>
      <c r="C15" t="s">
        <v>42</v>
      </c>
      <c r="D15" t="s">
        <v>7</v>
      </c>
      <c r="E15" t="s">
        <v>17</v>
      </c>
      <c r="F15" s="1">
        <v>30700</v>
      </c>
      <c r="G15">
        <f>VLOOKUP($B15,'[1]60mtj'!A:B,2,FALSE)</f>
        <v>10.27</v>
      </c>
      <c r="H15" s="4">
        <f>TRUNC(20.5173*(15.5-ROUNDUP((G15*0.9838),2))^1.92)</f>
        <v>520</v>
      </c>
      <c r="I15" s="2">
        <f>VLOOKUP(B15,[1]Kaugus!A:B,2,FALSE)</f>
        <v>5.6</v>
      </c>
      <c r="J15" s="3">
        <f>TRUNC(0.14354*(TRUNC(I15*100*1.0317,0)-220)^1.4)</f>
        <v>537</v>
      </c>
      <c r="K15" s="2">
        <f>VLOOKUP(B15,[1]Kuul!A:B,2,FALSE)</f>
        <v>11.63</v>
      </c>
      <c r="L15" s="3">
        <f>TRUNC(51.39*(TRUNC(K15*1.0372,2)-1.5)^1.05)</f>
        <v>610</v>
      </c>
      <c r="M15" s="2">
        <f>VLOOKUP(B15,[1]Kõrgus!A:B,2,FALSE)</f>
        <v>1.6</v>
      </c>
      <c r="N15" s="21">
        <f>TRUNC(0.8465*(TRUNC(M15*100*1.026,0)-75)^1.42)</f>
        <v>496</v>
      </c>
      <c r="P15" s="24" t="s">
        <v>76</v>
      </c>
      <c r="Q15" s="21">
        <v>480</v>
      </c>
      <c r="R15" s="7">
        <f t="shared" si="0"/>
        <v>2643</v>
      </c>
    </row>
    <row r="16" spans="1:19" ht="15.75" x14ac:dyDescent="0.25">
      <c r="A16" s="16">
        <v>6</v>
      </c>
      <c r="B16" t="s">
        <v>18</v>
      </c>
      <c r="C16" t="s">
        <v>44</v>
      </c>
      <c r="D16" t="s">
        <v>7</v>
      </c>
      <c r="E16" t="s">
        <v>19</v>
      </c>
      <c r="F16" s="1">
        <v>19443</v>
      </c>
      <c r="G16">
        <f>VLOOKUP($B16,'[1]60mtj'!A:B,2,FALSE)</f>
        <v>13.85</v>
      </c>
      <c r="H16" s="3">
        <f>TRUNC(20.5173*(15.5-ROUNDUP(G16*0.794,2))^1.92)</f>
        <v>368</v>
      </c>
      <c r="I16" s="2">
        <f>VLOOKUP(B16,[1]Kaugus!A:B,2,FALSE)</f>
        <v>3.59</v>
      </c>
      <c r="J16" s="3">
        <f>TRUNC(0.14354*(TRUNC(I16*100*1.5186,0)-220)^1.4)</f>
        <v>471</v>
      </c>
      <c r="K16" s="2">
        <f>VLOOKUP(B16,[1]Kuul!A:B,2,FALSE)</f>
        <v>10.08</v>
      </c>
      <c r="L16" s="3">
        <f>TRUNC(51.39*(TRUNC(K16*1.3607,2)-1.5)^1.05)</f>
        <v>711</v>
      </c>
      <c r="M16" s="2">
        <f>VLOOKUP(B16,[1]Kõrgus!A:B,2,FALSE)</f>
        <v>1.26</v>
      </c>
      <c r="N16" s="21">
        <f>TRUNC(0.8465*(TRUNC(M16*100*1.3869,0)-75)^1.42)</f>
        <v>577</v>
      </c>
      <c r="P16" s="24" t="s">
        <v>77</v>
      </c>
      <c r="Q16" s="21">
        <v>502</v>
      </c>
      <c r="R16" s="7">
        <f t="shared" si="0"/>
        <v>2629</v>
      </c>
    </row>
    <row r="17" spans="1:18" ht="15.75" x14ac:dyDescent="0.25">
      <c r="A17" s="16">
        <v>7</v>
      </c>
      <c r="B17" t="s">
        <v>20</v>
      </c>
      <c r="C17" t="s">
        <v>44</v>
      </c>
      <c r="D17" t="s">
        <v>7</v>
      </c>
      <c r="E17" t="s">
        <v>21</v>
      </c>
      <c r="F17" s="1">
        <v>27155</v>
      </c>
      <c r="G17">
        <f>VLOOKUP($B17,'[1]60mtj'!A:B,2,FALSE)</f>
        <v>11.43</v>
      </c>
      <c r="H17" s="3">
        <f>TRUNC(20.5173*(15.5-ROUNDUP(G17*0.9094,2))^1.92)</f>
        <v>468</v>
      </c>
      <c r="I17" s="2">
        <f>VLOOKUP(B17,[1]Kaugus!A:B,2,FALSE)</f>
        <v>5.36</v>
      </c>
      <c r="J17" s="3">
        <f>TRUNC(0.14354*(TRUNC(I17*100*1.1551,0)-220)^1.4)</f>
        <v>628</v>
      </c>
      <c r="K17" s="2">
        <f>VLOOKUP(B17,[1]Kuul!A:B,2,FALSE)</f>
        <v>9.41</v>
      </c>
      <c r="L17" s="3">
        <f>TRUNC(51.39*(TRUNC(K17*1.2023,2)-1.5)^1.05)</f>
        <v>565</v>
      </c>
      <c r="M17" s="2">
        <f>VLOOKUP(B17,[1]Kõrgus!A:B,2,FALSE)</f>
        <v>1.55</v>
      </c>
      <c r="N17" s="21">
        <f>TRUNC(0.8465*(TRUNC(M17*100*1.1022,0)-75)^1.42)</f>
        <v>544</v>
      </c>
      <c r="P17" s="24" t="s">
        <v>78</v>
      </c>
      <c r="Q17" s="21">
        <v>410</v>
      </c>
      <c r="R17" s="7">
        <f t="shared" si="0"/>
        <v>2615</v>
      </c>
    </row>
    <row r="18" spans="1:18" ht="15.75" x14ac:dyDescent="0.25">
      <c r="A18" s="16">
        <v>8</v>
      </c>
      <c r="B18" t="s">
        <v>15</v>
      </c>
      <c r="C18" t="s">
        <v>44</v>
      </c>
      <c r="D18" t="s">
        <v>7</v>
      </c>
      <c r="E18" t="s">
        <v>8</v>
      </c>
      <c r="F18" s="1">
        <v>24917</v>
      </c>
      <c r="G18">
        <f>VLOOKUP($B18,'[1]60mtj'!A:B,2,FALSE)</f>
        <v>12.01</v>
      </c>
      <c r="H18" s="3">
        <f>TRUNC(20.5173*(15.5-ROUNDUP(G18*0.8922,2))^1.92)</f>
        <v>413</v>
      </c>
      <c r="I18" s="2">
        <f>VLOOKUP(B18,[1]Kaugus!A:B,2,FALSE)</f>
        <v>4.78</v>
      </c>
      <c r="J18" s="3">
        <f>TRUNC(0.14354*(TRUNC(I18*100*1.2289,0)-220)^1.4)</f>
        <v>559</v>
      </c>
      <c r="K18" s="2">
        <f>VLOOKUP(B18,[1]Kuul!A:B,2,FALSE)</f>
        <v>9.84</v>
      </c>
      <c r="L18" s="3">
        <f>TRUNC(51.39*(TRUNC(K18*1.1721,2)-1.5)^1.05)</f>
        <v>578</v>
      </c>
      <c r="M18" s="2">
        <f>VLOOKUP(B18,[1]Kõrgus!A:B,2,FALSE)</f>
        <v>1.5</v>
      </c>
      <c r="N18" s="21">
        <f>TRUNC(0.8465*(TRUNC(M18*100*1.1617,0)-75)^1.42)</f>
        <v>577</v>
      </c>
      <c r="P18" s="24" t="s">
        <v>75</v>
      </c>
      <c r="Q18" s="21">
        <v>425</v>
      </c>
      <c r="R18" s="7">
        <f t="shared" si="0"/>
        <v>2552</v>
      </c>
    </row>
    <row r="19" spans="1:18" ht="15.75" x14ac:dyDescent="0.25">
      <c r="A19" s="16">
        <v>9</v>
      </c>
      <c r="B19" t="s">
        <v>22</v>
      </c>
      <c r="C19" t="s">
        <v>44</v>
      </c>
      <c r="D19" t="s">
        <v>7</v>
      </c>
      <c r="E19" t="s">
        <v>21</v>
      </c>
      <c r="F19" s="1">
        <v>26633</v>
      </c>
      <c r="G19">
        <f>VLOOKUP($B19,'[1]60mtj'!A:B,2,FALSE)</f>
        <v>11.22</v>
      </c>
      <c r="H19" s="3">
        <f>TRUNC(20.5173*(15.5-ROUNDUP(G19*0.9094,2))^1.92)</f>
        <v>502</v>
      </c>
      <c r="I19" s="2">
        <f>VLOOKUP(B19,[1]Kaugus!A:B,2,FALSE)</f>
        <v>5.21</v>
      </c>
      <c r="J19" s="3">
        <f>TRUNC(0.14354*(TRUNC(I19*100*1.1551,0)-220)^1.4)</f>
        <v>589</v>
      </c>
      <c r="K19" s="2">
        <f>VLOOKUP(B19,[1]Kuul!A:B,2,FALSE)</f>
        <v>8.0399999999999991</v>
      </c>
      <c r="L19" s="3">
        <f>TRUNC(51.39*(TRUNC(K19*1.2023,2)-1.5)^1.05)</f>
        <v>465</v>
      </c>
      <c r="M19" s="2">
        <f>VLOOKUP(B19,[1]Kõrgus!A:B,2,FALSE)</f>
        <v>1.45</v>
      </c>
      <c r="N19" s="21">
        <f>TRUNC(0.8465*(TRUNC(M19*100*1.1022,0)-75)^1.42)</f>
        <v>457</v>
      </c>
      <c r="P19" s="24" t="s">
        <v>79</v>
      </c>
      <c r="Q19" s="21">
        <v>450</v>
      </c>
      <c r="R19" s="7">
        <f t="shared" si="0"/>
        <v>2463</v>
      </c>
    </row>
    <row r="20" spans="1:18" ht="15.75" x14ac:dyDescent="0.25">
      <c r="A20" s="16">
        <v>10</v>
      </c>
      <c r="B20" t="s">
        <v>23</v>
      </c>
      <c r="C20" t="s">
        <v>39</v>
      </c>
      <c r="D20" t="s">
        <v>7</v>
      </c>
      <c r="E20" t="s">
        <v>17</v>
      </c>
      <c r="F20" s="1">
        <v>30482</v>
      </c>
      <c r="G20">
        <f>VLOOKUP($B20,'[1]60mtj'!A:B,2,FALSE)</f>
        <v>10.68</v>
      </c>
      <c r="H20" s="4">
        <f>TRUNC(20.5173*(15.5-ROUNDUP((G20*0.9838),2))^1.92)</f>
        <v>449</v>
      </c>
      <c r="I20" s="2">
        <f>VLOOKUP(B20,[1]Kaugus!A:B,2,FALSE)</f>
        <v>5.66</v>
      </c>
      <c r="J20" s="3">
        <f>TRUNC(0.14354*(TRUNC(I20*100*1.0317,0)-220)^1.4)</f>
        <v>550</v>
      </c>
      <c r="K20" s="2">
        <f>VLOOKUP(B20,[1]Kuul!A:B,2,FALSE)</f>
        <v>11.02</v>
      </c>
      <c r="L20" s="3">
        <f>TRUNC(51.39*(TRUNC(K20*1.0372,2)-1.5)^1.05)</f>
        <v>571</v>
      </c>
      <c r="M20" s="2">
        <f>VLOOKUP(B20,[1]Kõrgus!A:B,2,FALSE)</f>
        <v>1.5</v>
      </c>
      <c r="N20" s="21">
        <f>TRUNC(0.8465*(TRUNC(M20*100*1.026,0)-75)^1.42)</f>
        <v>411</v>
      </c>
      <c r="P20" s="24" t="s">
        <v>80</v>
      </c>
      <c r="Q20" s="21">
        <v>442</v>
      </c>
      <c r="R20" s="7">
        <f t="shared" si="0"/>
        <v>2423</v>
      </c>
    </row>
    <row r="21" spans="1:18" ht="15.75" x14ac:dyDescent="0.25">
      <c r="A21" s="16">
        <v>11</v>
      </c>
      <c r="B21" t="s">
        <v>24</v>
      </c>
      <c r="C21" t="s">
        <v>42</v>
      </c>
      <c r="D21" t="s">
        <v>7</v>
      </c>
      <c r="E21" t="s">
        <v>21</v>
      </c>
      <c r="F21" s="1">
        <v>27260</v>
      </c>
      <c r="G21">
        <f>VLOOKUP($B21,'[1]60mtj'!A:B,2,FALSE)</f>
        <v>11.82</v>
      </c>
      <c r="H21" s="3">
        <f>TRUNC(20.5173*(15.5-ROUNDUP(G21*0.9094,2))^1.92)</f>
        <v>408</v>
      </c>
      <c r="I21" s="2">
        <f>VLOOKUP(B21,[1]Kaugus!A:B,2,FALSE)</f>
        <v>4.43</v>
      </c>
      <c r="J21" s="3">
        <f>TRUNC(0.14354*(TRUNC(I21*100*1.1551,0)-220)^1.4)</f>
        <v>404</v>
      </c>
      <c r="K21" s="2">
        <f>VLOOKUP(B21,[1]Kuul!A:B,2,FALSE)</f>
        <v>8.75</v>
      </c>
      <c r="L21" s="3">
        <f>TRUNC(51.39*(TRUNC(K21*1.2023,2)-1.5)^1.05)</f>
        <v>517</v>
      </c>
      <c r="M21" s="2">
        <f>VLOOKUP(B21,[1]Kõrgus!A:B,2,FALSE)</f>
        <v>1.4</v>
      </c>
      <c r="N21" s="21">
        <f>TRUNC(0.8465*(TRUNC(M21*100*1.1022,0)-75)^1.42)</f>
        <v>419</v>
      </c>
      <c r="P21" s="24" t="s">
        <v>81</v>
      </c>
      <c r="Q21" s="21">
        <v>648</v>
      </c>
      <c r="R21" s="7">
        <f t="shared" si="0"/>
        <v>2396</v>
      </c>
    </row>
    <row r="22" spans="1:18" ht="15.75" x14ac:dyDescent="0.25">
      <c r="A22" s="16">
        <v>12</v>
      </c>
      <c r="B22" t="s">
        <v>25</v>
      </c>
      <c r="C22" t="s">
        <v>39</v>
      </c>
      <c r="D22" t="s">
        <v>7</v>
      </c>
      <c r="E22" t="s">
        <v>14</v>
      </c>
      <c r="F22" s="1">
        <v>21130</v>
      </c>
      <c r="G22">
        <f>VLOOKUP($B22,'[1]60mtj'!A:B,2,FALSE)</f>
        <v>13.07</v>
      </c>
      <c r="H22" s="3">
        <f>TRUNC(20.5173*(15.5-ROUNDUP(G22*0.8312,2))^1.92)</f>
        <v>389</v>
      </c>
      <c r="I22" s="2">
        <f>VLOOKUP(B22,[1]Kaugus!A:B,2,FALSE)</f>
        <v>3.79</v>
      </c>
      <c r="J22" s="3">
        <f>TRUNC(0.14354*(TRUNC(I22*100*1.4078,0)-220)^1.4)</f>
        <v>447</v>
      </c>
      <c r="K22" s="2">
        <f>VLOOKUP(B22,[1]Kuul!A:B,2,FALSE)</f>
        <v>9.83</v>
      </c>
      <c r="L22" s="3">
        <f>TRUNC(51.39*(TRUNC(K22*1.2482,2)-1.5)^1.05)</f>
        <v>622</v>
      </c>
      <c r="M22" s="2">
        <f>VLOOKUP(B22,[1]Kõrgus!A:B,2,FALSE)</f>
        <v>1.35</v>
      </c>
      <c r="N22" s="21">
        <f>TRUNC(0.8465*(TRUNC(M22*100*1.3025,0)-75)^1.42)</f>
        <v>585</v>
      </c>
      <c r="P22" s="24" t="s">
        <v>82</v>
      </c>
      <c r="Q22" s="21">
        <v>223</v>
      </c>
      <c r="R22" s="7">
        <f t="shared" si="0"/>
        <v>2266</v>
      </c>
    </row>
    <row r="23" spans="1:18" ht="15.75" x14ac:dyDescent="0.25">
      <c r="A23" s="16">
        <v>13</v>
      </c>
      <c r="B23" t="s">
        <v>26</v>
      </c>
      <c r="C23" t="s">
        <v>62</v>
      </c>
      <c r="D23" t="s">
        <v>7</v>
      </c>
      <c r="E23" t="s">
        <v>10</v>
      </c>
      <c r="F23" s="1">
        <v>18895</v>
      </c>
      <c r="G23">
        <f>VLOOKUP($B23,'[1]60mtj'!A:B,2,FALSE)</f>
        <v>11.73</v>
      </c>
      <c r="H23" s="3">
        <f>TRUNC(20.5173*(15.5-ROUNDUP(G23*0.7714,2))^1.92)</f>
        <v>735</v>
      </c>
      <c r="I23" s="2">
        <f>VLOOKUP(B23,[1]Kaugus!A:B,2,FALSE)</f>
        <v>4.01</v>
      </c>
      <c r="J23" s="3">
        <f>TRUNC(0.14354*(TRUNC(I23*100*1.6482,0)-220)^1.4)</f>
        <v>720</v>
      </c>
      <c r="K23" s="2">
        <f>VLOOKUP(B23,[1]Kuul!A:B,2,FALSE)</f>
        <v>10.81</v>
      </c>
      <c r="L23" s="3">
        <f>TRUNC(51.39*(TRUNC(K23*1.3471,2)-1.5)^1.05)</f>
        <v>763</v>
      </c>
      <c r="M23" s="2">
        <v>0</v>
      </c>
      <c r="N23" s="20">
        <v>0</v>
      </c>
      <c r="P23" s="24" t="s">
        <v>46</v>
      </c>
      <c r="Q23" s="20">
        <v>0</v>
      </c>
      <c r="R23" s="7">
        <f t="shared" si="0"/>
        <v>2218</v>
      </c>
    </row>
    <row r="24" spans="1:18" ht="15.75" x14ac:dyDescent="0.25">
      <c r="A24" s="16">
        <v>14</v>
      </c>
      <c r="B24" t="s">
        <v>28</v>
      </c>
      <c r="C24" t="s">
        <v>40</v>
      </c>
      <c r="D24" t="s">
        <v>7</v>
      </c>
      <c r="E24" t="s">
        <v>17</v>
      </c>
      <c r="F24" s="1">
        <v>31534</v>
      </c>
      <c r="G24">
        <f>VLOOKUP($B24,'[1]60mtj'!A:B,2,FALSE)</f>
        <v>12.25</v>
      </c>
      <c r="H24" s="4">
        <f>TRUNC(20.5173*(15.5-ROUNDUP((G24*0.9838),2))^1.92)</f>
        <v>219</v>
      </c>
      <c r="I24" s="2">
        <f>VLOOKUP(B24,[1]Kaugus!A:B,2,FALSE)</f>
        <v>4.1500000000000004</v>
      </c>
      <c r="J24" s="3">
        <f>TRUNC(0.14354*(TRUNC(I24*100*1.0317,0)-220)^1.4)</f>
        <v>252</v>
      </c>
      <c r="K24" s="2">
        <f>VLOOKUP(B24,[1]Kuul!A:B,2,FALSE)</f>
        <v>9.23</v>
      </c>
      <c r="L24" s="3">
        <f>TRUNC(51.39*(TRUNC(K24*1.0372,2)-1.5)^1.05)</f>
        <v>460</v>
      </c>
      <c r="M24" s="2">
        <f>VLOOKUP(B24,[1]Kõrgus!A:B,2,FALSE)</f>
        <v>1.45</v>
      </c>
      <c r="N24" s="21">
        <f>TRUNC(0.8465*(TRUNC(M24*100*1.026,0)-75)^1.42)</f>
        <v>374</v>
      </c>
      <c r="P24" s="24" t="s">
        <v>83</v>
      </c>
      <c r="Q24" s="21">
        <v>213</v>
      </c>
      <c r="R24" s="7">
        <f t="shared" si="0"/>
        <v>1518</v>
      </c>
    </row>
    <row r="25" spans="1:18" ht="15.75" x14ac:dyDescent="0.25">
      <c r="A25" s="16">
        <v>15</v>
      </c>
      <c r="B25" t="s">
        <v>29</v>
      </c>
      <c r="C25" t="s">
        <v>30</v>
      </c>
      <c r="D25" t="s">
        <v>7</v>
      </c>
      <c r="E25" t="s">
        <v>14</v>
      </c>
      <c r="F25" s="1">
        <v>20948</v>
      </c>
      <c r="G25">
        <f>VLOOKUP($B25,'[1]60mtj'!A:B,2,FALSE)</f>
        <v>16.77</v>
      </c>
      <c r="H25" s="3">
        <f>TRUNC(20.5173*(15.5-ROUNDUP(G25*0.8312,2))^1.92)</f>
        <v>48</v>
      </c>
      <c r="I25" s="2">
        <f>VLOOKUP(B25,[1]Kaugus!A:B,2,FALSE)</f>
        <v>2.9</v>
      </c>
      <c r="J25" s="3">
        <f>TRUNC(0.14354*(TRUNC(I25*100*1.4078,0)-220)^1.4)</f>
        <v>219</v>
      </c>
      <c r="K25" s="2">
        <f>VLOOKUP(B25,[1]Kuul!A:B,2,FALSE)</f>
        <v>7.16</v>
      </c>
      <c r="L25" s="3">
        <f>TRUNC(51.39*(TRUNC(K25*1.2482,2)-1.5)^1.05)</f>
        <v>422</v>
      </c>
      <c r="M25" s="2">
        <f>VLOOKUP(B25,[1]Kõrgus!A:B,2,FALSE)</f>
        <v>1.2</v>
      </c>
      <c r="N25" s="21">
        <f>TRUNC(0.8465*(TRUNC(M25*100*1.3025,0)-75)^1.42)</f>
        <v>434</v>
      </c>
      <c r="P25" s="23" t="s">
        <v>84</v>
      </c>
      <c r="Q25" s="21">
        <v>184</v>
      </c>
      <c r="R25" s="7">
        <f t="shared" si="0"/>
        <v>1307</v>
      </c>
    </row>
    <row r="26" spans="1:18" ht="15.75" x14ac:dyDescent="0.25">
      <c r="A26" s="16">
        <v>16</v>
      </c>
      <c r="B26" t="s">
        <v>27</v>
      </c>
      <c r="C26" t="s">
        <v>41</v>
      </c>
      <c r="D26" t="s">
        <v>7</v>
      </c>
      <c r="E26" t="s">
        <v>10</v>
      </c>
      <c r="F26" s="1">
        <v>17990</v>
      </c>
      <c r="G26" s="14" t="s">
        <v>47</v>
      </c>
      <c r="H26" s="20">
        <v>0</v>
      </c>
      <c r="I26" s="2">
        <f>VLOOKUP(B26,[1]Kaugus!A:B,2,FALSE)</f>
        <v>3.42</v>
      </c>
      <c r="J26" s="3">
        <f>TRUNC(0.14354*(TRUNC(I26*100*1.6482,0)-220)^1.4)</f>
        <v>508</v>
      </c>
      <c r="K26" s="2">
        <f>VLOOKUP(B26,[1]Kuul!A:B,2,FALSE)</f>
        <v>10.38</v>
      </c>
      <c r="L26" s="3">
        <f>TRUNC(51.39*(TRUNC(K26*1.3471,2)-1.5)^1.05)</f>
        <v>727</v>
      </c>
      <c r="M26" s="2">
        <f>VLOOKUP(B26,[1]Kõrgus!A:B,2,FALSE)</f>
        <v>1.2</v>
      </c>
      <c r="N26" s="21">
        <f>TRUNC(0.8465*(TRUNC(M26*100*1.4832,0)-75)^1.42)</f>
        <v>602</v>
      </c>
      <c r="P26" s="24" t="s">
        <v>47</v>
      </c>
      <c r="Q26" s="20">
        <v>0</v>
      </c>
      <c r="R26" s="7"/>
    </row>
    <row r="28" spans="1:18" x14ac:dyDescent="0.25">
      <c r="B28" t="s">
        <v>64</v>
      </c>
    </row>
    <row r="29" spans="1:18" x14ac:dyDescent="0.25">
      <c r="B29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 Kont</dc:creator>
  <cp:lastModifiedBy>Andrus</cp:lastModifiedBy>
  <dcterms:created xsi:type="dcterms:W3CDTF">2022-01-16T17:28:41Z</dcterms:created>
  <dcterms:modified xsi:type="dcterms:W3CDTF">2022-01-16T21:21:47Z</dcterms:modified>
</cp:coreProperties>
</file>